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30" yWindow="0" windowWidth="14400" windowHeight="11100"/>
  </bookViews>
  <sheets>
    <sheet name="Кредитний калькулятор" sheetId="1" r:id="rId1"/>
    <sheet name="Зразок" sheetId="2" r:id="rId2"/>
  </sheets>
  <definedNames>
    <definedName name="_xlnm._FilterDatabase" localSheetId="0" hidden="1">'Кредитний калькулятор'!$D$4:$D$5</definedName>
  </definedNames>
  <calcPr calcId="145621"/>
</workbook>
</file>

<file path=xl/calcChain.xml><?xml version="1.0" encoding="utf-8"?>
<calcChain xmlns="http://schemas.openxmlformats.org/spreadsheetml/2006/main">
  <c r="D7" i="2" l="1"/>
  <c r="B41" i="2"/>
  <c r="B31" i="2" l="1"/>
  <c r="B25" i="2" l="1"/>
  <c r="B42" i="2"/>
  <c r="B30" i="2"/>
  <c r="C31" i="2" s="1"/>
  <c r="B40" i="2"/>
  <c r="B39" i="2"/>
  <c r="B38" i="2"/>
  <c r="B37" i="2"/>
  <c r="B36" i="2"/>
  <c r="B35" i="2"/>
  <c r="B34" i="2"/>
  <c r="B33" i="2"/>
  <c r="B32" i="2"/>
  <c r="B29" i="2"/>
  <c r="B24" i="2"/>
  <c r="B28" i="2"/>
  <c r="B27" i="2"/>
  <c r="B26" i="2"/>
  <c r="B23" i="2"/>
  <c r="B18" i="2"/>
  <c r="B22" i="2"/>
  <c r="B21" i="2"/>
  <c r="B20" i="2"/>
  <c r="B19" i="2"/>
  <c r="C19" i="2" s="1"/>
  <c r="C26" i="2" l="1"/>
  <c r="C39" i="2"/>
  <c r="C33" i="2"/>
  <c r="C35" i="2"/>
  <c r="C37" i="2"/>
  <c r="C32" i="2"/>
  <c r="C34" i="2"/>
  <c r="C36" i="2"/>
  <c r="C40" i="2"/>
  <c r="C38" i="2"/>
  <c r="C29" i="2"/>
  <c r="C21" i="2"/>
  <c r="C28" i="2"/>
  <c r="C25" i="2"/>
  <c r="C27" i="2"/>
  <c r="C30" i="2"/>
  <c r="C20" i="2"/>
  <c r="C22" i="2"/>
  <c r="C23" i="2"/>
  <c r="C24" i="2"/>
  <c r="D6" i="2"/>
  <c r="E6" i="2" l="1"/>
  <c r="D9" i="1" s="1"/>
  <c r="B17" i="2"/>
  <c r="B16" i="2"/>
  <c r="B15" i="2"/>
  <c r="B14" i="2"/>
  <c r="B13" i="2"/>
  <c r="B12" i="2"/>
  <c r="B11" i="2"/>
  <c r="B10" i="2"/>
  <c r="B9" i="2"/>
  <c r="B8" i="2"/>
  <c r="C7" i="2"/>
  <c r="C41" i="2" l="1"/>
  <c r="C42" i="2"/>
  <c r="C8" i="2"/>
  <c r="F7" i="2"/>
  <c r="C9" i="2"/>
  <c r="C18" i="2"/>
  <c r="C11" i="2"/>
  <c r="C13" i="2"/>
  <c r="C12" i="2"/>
  <c r="C15" i="2"/>
  <c r="C16" i="2"/>
  <c r="C10" i="2"/>
  <c r="C14" i="2"/>
  <c r="C17" i="2"/>
  <c r="C43" i="2" l="1"/>
  <c r="E7" i="2" l="1"/>
  <c r="D8" i="2"/>
  <c r="D9" i="2" l="1"/>
  <c r="F8" i="2"/>
  <c r="D10" i="2" l="1"/>
  <c r="E8" i="2"/>
  <c r="D11" i="2" l="1"/>
  <c r="F9" i="2"/>
  <c r="E9" i="2" l="1"/>
  <c r="D12" i="2"/>
  <c r="D13" i="2" l="1"/>
  <c r="F10" i="2"/>
  <c r="E10" i="2" l="1"/>
  <c r="D14" i="2"/>
  <c r="D15" i="2" l="1"/>
  <c r="F11" i="2"/>
  <c r="E11" i="2" l="1"/>
  <c r="D16" i="2"/>
  <c r="D17" i="2" l="1"/>
  <c r="F12" i="2"/>
  <c r="E12" i="2" s="1"/>
  <c r="F13" i="2" l="1"/>
  <c r="E13" i="2" s="1"/>
  <c r="F14" i="2" l="1"/>
  <c r="E14" i="2" s="1"/>
  <c r="F15" i="2" s="1"/>
  <c r="E15" i="2" s="1"/>
  <c r="F16" i="2" l="1"/>
  <c r="E16" i="2" s="1"/>
  <c r="F17" i="2" s="1"/>
  <c r="E17" i="2" s="1"/>
  <c r="F18" i="2" l="1"/>
  <c r="D18" i="2" l="1"/>
  <c r="E18" i="2" l="1"/>
  <c r="D19" i="2"/>
  <c r="D20" i="2" s="1"/>
  <c r="D21" i="2" s="1"/>
  <c r="D22" i="2" s="1"/>
  <c r="F19" i="2" l="1"/>
  <c r="E19" i="2" s="1"/>
  <c r="F20" i="2" s="1"/>
  <c r="E20" i="2" s="1"/>
  <c r="D23" i="2"/>
  <c r="F21" i="2" l="1"/>
  <c r="E21" i="2" s="1"/>
  <c r="F22" i="2" s="1"/>
  <c r="E22" i="2" s="1"/>
  <c r="F23" i="2" s="1"/>
  <c r="E23" i="2" s="1"/>
  <c r="D24" i="2"/>
  <c r="F24" i="2" l="1"/>
  <c r="D25" i="2"/>
  <c r="E24" i="2"/>
  <c r="F25" i="2" s="1"/>
  <c r="D26" i="2" l="1"/>
  <c r="E25" i="2"/>
  <c r="F26" i="2" s="1"/>
  <c r="D27" i="2" l="1"/>
  <c r="E26" i="2"/>
  <c r="F27" i="2" s="1"/>
  <c r="D28" i="2" l="1"/>
  <c r="E27" i="2"/>
  <c r="F28" i="2" s="1"/>
  <c r="D29" i="2" l="1"/>
  <c r="E28" i="2"/>
  <c r="F29" i="2" s="1"/>
  <c r="D30" i="2" l="1"/>
  <c r="D31" i="2"/>
  <c r="D32" i="2" s="1"/>
  <c r="D33" i="2" s="1"/>
  <c r="D34" i="2" s="1"/>
  <c r="D35" i="2" s="1"/>
  <c r="D36" i="2" s="1"/>
  <c r="D37" i="2" s="1"/>
  <c r="D38" i="2" s="1"/>
  <c r="D39" i="2" s="1"/>
  <c r="D40" i="2" s="1"/>
  <c r="E29" i="2"/>
  <c r="F30" i="2" s="1"/>
  <c r="E30" i="2" s="1"/>
  <c r="F31" i="2" s="1"/>
  <c r="E31" i="2" s="1"/>
  <c r="F32" i="2" s="1"/>
  <c r="E32" i="2" s="1"/>
  <c r="F33" i="2" s="1"/>
  <c r="E33" i="2" s="1"/>
  <c r="F34" i="2" s="1"/>
  <c r="E34" i="2" s="1"/>
  <c r="F35" i="2" s="1"/>
  <c r="E35" i="2" s="1"/>
  <c r="F36" i="2" s="1"/>
  <c r="E36" i="2" s="1"/>
  <c r="F37" i="2" s="1"/>
  <c r="E37" i="2" s="1"/>
  <c r="F38" i="2" s="1"/>
  <c r="E38" i="2" s="1"/>
  <c r="F39" i="2" s="1"/>
  <c r="E39" i="2" s="1"/>
  <c r="F40" i="2" s="1"/>
  <c r="D41" i="2" l="1"/>
  <c r="E40" i="2"/>
  <c r="F41" i="2" s="1"/>
  <c r="E41" i="2" l="1"/>
  <c r="F42" i="2" l="1"/>
  <c r="F43" i="2" s="1"/>
  <c r="B9" i="1" s="1"/>
  <c r="E42" i="2"/>
  <c r="E43" i="2" s="1"/>
  <c r="D43" i="2" l="1"/>
  <c r="R43" i="2"/>
  <c r="B12" i="1" l="1"/>
  <c r="B15" i="1" s="1"/>
  <c r="D42" i="2"/>
  <c r="Q43" i="2" l="1"/>
  <c r="D15" i="1" s="1"/>
  <c r="D44" i="2"/>
</calcChain>
</file>

<file path=xl/sharedStrings.xml><?xml version="1.0" encoding="utf-8"?>
<sst xmlns="http://schemas.openxmlformats.org/spreadsheetml/2006/main" count="110" uniqueCount="35">
  <si>
    <t>Кредитний калькулятор</t>
  </si>
  <si>
    <t>Введіть строк користування кредитом (в місяцях):</t>
  </si>
  <si>
    <t xml:space="preserve">    Введіть суму кредиту (в грн.):</t>
  </si>
  <si>
    <t xml:space="preserve">     Сума нарахованих відсотків (в грн.):</t>
  </si>
  <si>
    <t>Загальна вартість кредиту (в грн.)</t>
  </si>
  <si>
    <t>Сума щомісячного платежу (в грн.):</t>
  </si>
  <si>
    <t>Х</t>
  </si>
  <si>
    <t>Усього</t>
  </si>
  <si>
    <t>Платежі за додаткові та супутні послуги (у грн.):</t>
  </si>
  <si>
    <t>Загальні витрати по кредиту (в грн.)</t>
  </si>
  <si>
    <t>Реальна річна процентна ставка (у %):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</si>
  <si>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</si>
  <si>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</si>
  <si>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</si>
  <si>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</si>
  <si>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</si>
  <si>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</si>
  <si>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</si>
  <si>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</si>
  <si>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</si>
  <si>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</si>
  <si>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</si>
  <si>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</si>
  <si>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</si>
  <si>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</si>
  <si>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t>комісійний збір</t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</si>
  <si>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</si>
  <si>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</si>
  <si>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</si>
  <si>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</si>
  <si>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t>X</t>
  </si>
  <si>
    <r>
      <t>інші послуги кредитодавця</t>
    </r>
    <r>
      <rPr>
        <b/>
        <vertAlign val="superscript"/>
        <sz val="10"/>
        <rFont val="Times New Roman"/>
        <family val="1"/>
        <charset val="204"/>
      </rPr>
      <t>-1</t>
    </r>
  </si>
  <si>
    <r>
      <t>інша плата за послуги кредитного посередника</t>
    </r>
    <r>
      <rPr>
        <b/>
        <vertAlign val="superscript"/>
        <sz val="10"/>
        <rFont val="Times New Roman"/>
        <family val="1"/>
        <charset val="204"/>
      </rPr>
      <t>-1</t>
    </r>
  </si>
  <si>
    <r>
      <t>інші послуги третіх осіб</t>
    </r>
    <r>
      <rPr>
        <b/>
        <vertAlign val="superscript"/>
        <sz val="10"/>
        <rFont val="Times New Roman"/>
        <family val="1"/>
        <charset val="204"/>
      </rPr>
      <t>-1</t>
    </r>
  </si>
  <si>
    <t>платежі за супровідні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</si>
</sst>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₴"/>
    <numFmt numFmtId="165" formatCode="dd\.mm\.yyyy;@"/>
    <numFmt numFmtId="166" formatCode="#,##0_₴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theme="0"/>
      <name val="Calibri"/>
      <family val="2"/>
      <scheme val="minor"/>
    </font>
    <font>
      <b/>
      <vertAlign val="superscript"/>
      <sz val="10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 hidden="1"/>
    </xf>
    <xf numFmtId="0" fontId="5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164" fontId="4" fillId="0" borderId="0" xfId="0" applyNumberFormat="1" applyFont="1" applyFill="1" applyAlignment="1" applyProtection="1">
      <alignment vertical="center"/>
      <protection locked="0"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Alignment="1" applyProtection="1">
      <alignment horizontal="center"/>
      <protection locked="0"/>
    </xf>
    <xf numFmtId="166" fontId="11" fillId="0" borderId="0" xfId="0" applyNumberFormat="1" applyFont="1" applyProtection="1">
      <protection locked="0"/>
    </xf>
    <xf numFmtId="4" fontId="9" fillId="0" borderId="0" xfId="0" applyNumberFormat="1" applyFont="1"/>
    <xf numFmtId="0" fontId="12" fillId="5" borderId="0" xfId="0" applyFont="1" applyFill="1" applyBorder="1" applyAlignment="1">
      <alignment horizontal="justify" vertical="center"/>
    </xf>
    <xf numFmtId="165" fontId="8" fillId="0" borderId="0" xfId="0" applyNumberFormat="1" applyFont="1" applyFill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vertical="center"/>
    </xf>
    <xf numFmtId="166" fontId="4" fillId="4" borderId="0" xfId="0" applyNumberFormat="1" applyFont="1" applyFill="1" applyAlignment="1" applyProtection="1">
      <alignment horizontal="center" vertical="center"/>
      <protection locked="0" hidden="1"/>
    </xf>
    <xf numFmtId="166" fontId="2" fillId="3" borderId="0" xfId="0" applyNumberFormat="1" applyFont="1" applyFill="1" applyAlignment="1">
      <alignment horizontal="center" vertical="center"/>
    </xf>
    <xf numFmtId="166" fontId="9" fillId="0" borderId="0" xfId="0" applyNumberFormat="1" applyFont="1"/>
    <xf numFmtId="0" fontId="15" fillId="0" borderId="0" xfId="0" applyFont="1"/>
    <xf numFmtId="165" fontId="6" fillId="0" borderId="1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166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/>
    <xf numFmtId="0" fontId="9" fillId="0" borderId="0" xfId="0" applyFont="1" applyFill="1"/>
    <xf numFmtId="0" fontId="6" fillId="0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166" fontId="14" fillId="2" borderId="1" xfId="0" applyNumberFormat="1" applyFont="1" applyFill="1" applyBorder="1"/>
    <xf numFmtId="0" fontId="14" fillId="2" borderId="1" xfId="0" applyFont="1" applyFill="1" applyBorder="1" applyAlignment="1">
      <alignment vertical="top" wrapText="1"/>
    </xf>
    <xf numFmtId="10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6" fontId="4" fillId="2" borderId="0" xfId="0" applyNumberFormat="1" applyFont="1" applyFill="1" applyAlignment="1" applyProtection="1">
      <alignment horizontal="center" vertical="center"/>
      <protection hidden="1"/>
    </xf>
    <xf numFmtId="166" fontId="4" fillId="4" borderId="0" xfId="0" applyNumberFormat="1" applyFont="1" applyFill="1" applyAlignment="1" applyProtection="1">
      <alignment horizontal="center" vertical="center"/>
      <protection hidden="1"/>
    </xf>
    <xf numFmtId="10" fontId="4" fillId="4" borderId="0" xfId="0" applyNumberFormat="1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-0.249977111117893"/>
  </sheetPr>
  <dimension ref="A1:G25"/>
  <sheetViews>
    <sheetView tabSelected="1" zoomScale="170" zoomScaleNormal="170" zoomScalePageLayoutView="130" workbookViewId="0">
      <selection activeCell="B5" sqref="B5"/>
    </sheetView>
  </sheetViews>
  <sheetFormatPr defaultRowHeight="15" x14ac:dyDescent="0.25"/>
  <cols>
    <col min="1" max="1" width="12.85546875" style="4" customWidth="1"/>
    <col min="2" max="2" width="21" style="4" customWidth="1"/>
    <col min="3" max="3" width="13.5703125" style="4" customWidth="1"/>
    <col min="4" max="4" width="20" style="4" customWidth="1"/>
    <col min="5" max="5" width="9.140625" style="4" customWidth="1"/>
    <col min="6" max="16384" width="9.140625" style="4"/>
  </cols>
  <sheetData>
    <row r="1" spans="1:7" ht="0.75" customHeight="1" x14ac:dyDescent="0.25">
      <c r="A1" s="3"/>
      <c r="B1" s="5"/>
      <c r="C1" s="34"/>
      <c r="D1" s="34"/>
      <c r="E1" s="5"/>
      <c r="F1" s="6">
        <v>12</v>
      </c>
      <c r="G1" s="9"/>
    </row>
    <row r="2" spans="1:7" ht="15.75" customHeight="1" x14ac:dyDescent="0.25">
      <c r="A2" s="33"/>
      <c r="B2" s="59" t="s">
        <v>0</v>
      </c>
      <c r="C2" s="59"/>
      <c r="D2" s="59"/>
      <c r="E2" s="5"/>
      <c r="F2" s="7">
        <v>18</v>
      </c>
      <c r="G2" s="9"/>
    </row>
    <row r="3" spans="1:7" ht="15.75" customHeight="1" x14ac:dyDescent="0.25">
      <c r="A3" s="33"/>
      <c r="B3" s="59"/>
      <c r="C3" s="59"/>
      <c r="D3" s="59"/>
      <c r="E3" s="5"/>
      <c r="F3" s="7">
        <v>24</v>
      </c>
      <c r="G3" s="9"/>
    </row>
    <row r="4" spans="1:7" ht="23.25" customHeight="1" x14ac:dyDescent="0.25">
      <c r="A4" s="60" t="s">
        <v>2</v>
      </c>
      <c r="B4" s="60"/>
      <c r="C4" s="61" t="s">
        <v>1</v>
      </c>
      <c r="D4" s="61"/>
      <c r="E4" s="61"/>
      <c r="F4" s="11">
        <v>36</v>
      </c>
      <c r="G4" s="9"/>
    </row>
    <row r="5" spans="1:7" ht="33" customHeight="1" x14ac:dyDescent="0.25">
      <c r="A5" s="33"/>
      <c r="B5" s="35">
        <v>100000</v>
      </c>
      <c r="C5" s="5"/>
      <c r="D5" s="10">
        <v>36</v>
      </c>
      <c r="E5" s="5"/>
      <c r="F5" s="5"/>
      <c r="G5" s="9"/>
    </row>
    <row r="6" spans="1:7" ht="15.75" x14ac:dyDescent="0.25">
      <c r="A6" s="33"/>
      <c r="B6" s="5"/>
      <c r="C6" s="5"/>
      <c r="D6" s="5"/>
      <c r="E6" s="5"/>
      <c r="F6" s="5"/>
      <c r="G6" s="9"/>
    </row>
    <row r="7" spans="1:7" ht="6" customHeight="1" x14ac:dyDescent="0.25">
      <c r="A7" s="33"/>
      <c r="B7" s="5"/>
      <c r="C7" s="5"/>
      <c r="D7" s="5"/>
      <c r="E7" s="5"/>
      <c r="F7" s="5"/>
      <c r="G7" s="9"/>
    </row>
    <row r="8" spans="1:7" ht="15.75" x14ac:dyDescent="0.25">
      <c r="A8" s="62" t="s">
        <v>3</v>
      </c>
      <c r="B8" s="62"/>
      <c r="C8" s="5"/>
      <c r="D8" s="40" t="s">
        <v>5</v>
      </c>
      <c r="E8" s="5"/>
      <c r="F8" s="5"/>
      <c r="G8" s="9"/>
    </row>
    <row r="9" spans="1:7" ht="30.75" customHeight="1" x14ac:dyDescent="0.25">
      <c r="A9" s="33"/>
      <c r="B9" s="56">
        <f>Зразок!F43</f>
        <v>65017.985259877983</v>
      </c>
      <c r="C9" s="36"/>
      <c r="D9" s="56">
        <f>Зразок!D7</f>
        <v>4450</v>
      </c>
      <c r="E9" s="5"/>
      <c r="F9" s="5"/>
      <c r="G9" s="9"/>
    </row>
    <row r="10" spans="1:7" ht="15.75" x14ac:dyDescent="0.25">
      <c r="A10" s="33"/>
      <c r="B10" s="5"/>
      <c r="C10" s="5"/>
      <c r="D10" s="5"/>
      <c r="E10" s="5"/>
      <c r="F10" s="5"/>
      <c r="G10" s="9"/>
    </row>
    <row r="11" spans="1:7" ht="23.25" customHeight="1" x14ac:dyDescent="0.25">
      <c r="A11" s="60" t="s">
        <v>9</v>
      </c>
      <c r="B11" s="60"/>
      <c r="C11" s="61" t="s">
        <v>8</v>
      </c>
      <c r="D11" s="61"/>
      <c r="E11" s="61"/>
      <c r="F11" s="11"/>
      <c r="G11" s="9"/>
    </row>
    <row r="12" spans="1:7" ht="33" customHeight="1" x14ac:dyDescent="0.25">
      <c r="A12" s="33"/>
      <c r="B12" s="57">
        <f>Зразок!D43</f>
        <v>165017.98525987798</v>
      </c>
      <c r="C12" s="36"/>
      <c r="D12" s="57">
        <v>0</v>
      </c>
      <c r="E12" s="17"/>
      <c r="F12" s="5"/>
      <c r="G12" s="9"/>
    </row>
    <row r="13" spans="1:7" ht="15.75" x14ac:dyDescent="0.25">
      <c r="A13" s="33"/>
      <c r="B13" s="5"/>
      <c r="C13" s="5"/>
      <c r="D13" s="5"/>
      <c r="E13" s="5"/>
      <c r="F13" s="5"/>
      <c r="G13" s="9"/>
    </row>
    <row r="14" spans="1:7" ht="23.25" customHeight="1" x14ac:dyDescent="0.25">
      <c r="A14" s="60" t="s">
        <v>4</v>
      </c>
      <c r="B14" s="60"/>
      <c r="C14" s="61" t="s">
        <v>10</v>
      </c>
      <c r="D14" s="61"/>
      <c r="E14" s="61"/>
      <c r="F14" s="11"/>
      <c r="G14" s="9"/>
    </row>
    <row r="15" spans="1:7" ht="33" customHeight="1" x14ac:dyDescent="0.25">
      <c r="A15" s="33"/>
      <c r="B15" s="57">
        <f>B12</f>
        <v>165017.98525987798</v>
      </c>
      <c r="C15" s="5"/>
      <c r="D15" s="58">
        <f>Зразок!Q43</f>
        <v>0.41316562294960035</v>
      </c>
      <c r="E15" s="17"/>
      <c r="F15" s="5"/>
      <c r="G15" s="9"/>
    </row>
    <row r="16" spans="1:7" ht="15.75" x14ac:dyDescent="0.25">
      <c r="A16" s="3"/>
      <c r="B16" s="2"/>
      <c r="C16" s="2"/>
      <c r="D16" s="2"/>
      <c r="E16" s="2"/>
      <c r="F16" s="2"/>
    </row>
    <row r="17" spans="1:6" x14ac:dyDescent="0.25">
      <c r="A17" s="3"/>
      <c r="B17" s="1"/>
      <c r="C17" s="1"/>
      <c r="D17" s="1"/>
      <c r="E17" s="1"/>
      <c r="F17" s="1"/>
    </row>
    <row r="18" spans="1:6" x14ac:dyDescent="0.25">
      <c r="A18" s="3"/>
      <c r="B18" s="1"/>
      <c r="C18" s="1"/>
      <c r="D18" s="1"/>
      <c r="E18" s="1"/>
      <c r="F18" s="8"/>
    </row>
    <row r="19" spans="1:6" x14ac:dyDescent="0.25">
      <c r="A19" s="3"/>
      <c r="B19" s="1"/>
      <c r="C19" s="1"/>
      <c r="D19" s="1"/>
      <c r="E19" s="1"/>
      <c r="F19" s="1"/>
    </row>
    <row r="20" spans="1:6" x14ac:dyDescent="0.25">
      <c r="B20" s="1"/>
      <c r="C20" s="1"/>
      <c r="D20" s="1"/>
      <c r="E20" s="1"/>
      <c r="F20" s="1"/>
    </row>
    <row r="21" spans="1:6" x14ac:dyDescent="0.25">
      <c r="B21" s="1"/>
      <c r="C21" s="1"/>
      <c r="D21" s="1"/>
      <c r="E21" s="1"/>
      <c r="F21" s="1"/>
    </row>
    <row r="22" spans="1:6" x14ac:dyDescent="0.25">
      <c r="B22" s="1"/>
      <c r="C22" s="1"/>
      <c r="D22" s="1"/>
      <c r="E22" s="1"/>
      <c r="F22" s="1"/>
    </row>
    <row r="23" spans="1:6" x14ac:dyDescent="0.25">
      <c r="B23" s="1"/>
      <c r="C23" s="1"/>
      <c r="D23" s="1"/>
      <c r="E23" s="1"/>
      <c r="F23" s="1"/>
    </row>
    <row r="24" spans="1:6" x14ac:dyDescent="0.25">
      <c r="B24" s="1"/>
      <c r="C24" s="1"/>
      <c r="D24" s="1"/>
      <c r="E24" s="1"/>
      <c r="F24" s="1"/>
    </row>
    <row r="25" spans="1:6" x14ac:dyDescent="0.25">
      <c r="B25" s="1"/>
      <c r="C25" s="1"/>
      <c r="D25" s="1"/>
      <c r="E25" s="1"/>
      <c r="F25" s="1"/>
    </row>
  </sheetData>
  <sheetProtection password="EEAB" sheet="1" objects="1" scenarios="1" selectLockedCells="1"/>
  <dataConsolidate/>
  <mergeCells count="8">
    <mergeCell ref="B2:D3"/>
    <mergeCell ref="A11:B11"/>
    <mergeCell ref="C11:E11"/>
    <mergeCell ref="A8:B8"/>
    <mergeCell ref="A14:B14"/>
    <mergeCell ref="C14:E14"/>
    <mergeCell ref="A4:B4"/>
    <mergeCell ref="C4:E4"/>
  </mergeCells>
  <dataValidations count="1">
    <dataValidation type="list" allowBlank="1" showInputMessage="1" showErrorMessage="1" sqref="D5">
      <formula1>$F$1:$F$5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45"/>
  <sheetViews>
    <sheetView zoomScaleNormal="100" workbookViewId="0">
      <selection activeCell="G3" sqref="G3:I3"/>
    </sheetView>
  </sheetViews>
  <sheetFormatPr defaultRowHeight="12.75" x14ac:dyDescent="0.2"/>
  <cols>
    <col min="1" max="1" width="9.140625" style="18"/>
    <col min="2" max="2" width="12" style="18" customWidth="1"/>
    <col min="3" max="3" width="9.28515625" style="19" bestFit="1" customWidth="1"/>
    <col min="4" max="4" width="11" style="18" bestFit="1" customWidth="1"/>
    <col min="5" max="5" width="9.7109375" style="18" bestFit="1" customWidth="1"/>
    <col min="6" max="6" width="9.28515625" style="18" bestFit="1" customWidth="1"/>
    <col min="7" max="7" width="9" style="18" customWidth="1"/>
    <col min="8" max="8" width="8.140625" style="18" customWidth="1"/>
    <col min="9" max="9" width="9.28515625" style="18" bestFit="1" customWidth="1"/>
    <col min="10" max="10" width="9.5703125" style="18" customWidth="1"/>
    <col min="11" max="11" width="9.7109375" style="18" customWidth="1"/>
    <col min="12" max="12" width="8.7109375" style="18" customWidth="1"/>
    <col min="13" max="13" width="8.28515625" style="18" customWidth="1"/>
    <col min="14" max="14" width="8.5703125" style="18" customWidth="1"/>
    <col min="15" max="15" width="8.140625" style="18" customWidth="1"/>
    <col min="16" max="16" width="8.42578125" style="18" customWidth="1"/>
    <col min="17" max="17" width="8.140625" style="26" customWidth="1"/>
    <col min="18" max="18" width="9.28515625" style="18" bestFit="1" customWidth="1"/>
    <col min="19" max="16384" width="9.140625" style="18"/>
  </cols>
  <sheetData>
    <row r="1" spans="1:19" x14ac:dyDescent="0.2">
      <c r="A1" s="63" t="s">
        <v>11</v>
      </c>
      <c r="B1" s="63" t="s">
        <v>12</v>
      </c>
      <c r="C1" s="63" t="s">
        <v>13</v>
      </c>
      <c r="D1" s="63" t="s">
        <v>14</v>
      </c>
      <c r="E1" s="63" t="s">
        <v>15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 t="s">
        <v>16</v>
      </c>
      <c r="R1" s="63" t="s">
        <v>17</v>
      </c>
    </row>
    <row r="2" spans="1:19" x14ac:dyDescent="0.2">
      <c r="A2" s="63"/>
      <c r="B2" s="63"/>
      <c r="C2" s="63"/>
      <c r="D2" s="63"/>
      <c r="E2" s="63" t="s">
        <v>18</v>
      </c>
      <c r="F2" s="63" t="s">
        <v>19</v>
      </c>
      <c r="G2" s="63" t="s">
        <v>34</v>
      </c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</row>
    <row r="3" spans="1:19" ht="32.25" customHeight="1" x14ac:dyDescent="0.2">
      <c r="A3" s="63"/>
      <c r="B3" s="63"/>
      <c r="C3" s="63"/>
      <c r="D3" s="63"/>
      <c r="E3" s="63"/>
      <c r="F3" s="63"/>
      <c r="G3" s="63" t="s">
        <v>20</v>
      </c>
      <c r="H3" s="63"/>
      <c r="I3" s="63"/>
      <c r="J3" s="63" t="s">
        <v>21</v>
      </c>
      <c r="K3" s="63"/>
      <c r="L3" s="63" t="s">
        <v>22</v>
      </c>
      <c r="M3" s="63"/>
      <c r="N3" s="63"/>
      <c r="O3" s="63"/>
      <c r="P3" s="63"/>
      <c r="Q3" s="64"/>
      <c r="R3" s="63"/>
    </row>
    <row r="4" spans="1:19" ht="71.25" customHeight="1" x14ac:dyDescent="0.2">
      <c r="A4" s="63"/>
      <c r="B4" s="63"/>
      <c r="C4" s="63"/>
      <c r="D4" s="63"/>
      <c r="E4" s="63"/>
      <c r="F4" s="63"/>
      <c r="G4" s="52" t="s">
        <v>23</v>
      </c>
      <c r="H4" s="52" t="s">
        <v>24</v>
      </c>
      <c r="I4" s="52" t="s">
        <v>31</v>
      </c>
      <c r="J4" s="52" t="s">
        <v>25</v>
      </c>
      <c r="K4" s="52" t="s">
        <v>32</v>
      </c>
      <c r="L4" s="52" t="s">
        <v>26</v>
      </c>
      <c r="M4" s="52" t="s">
        <v>27</v>
      </c>
      <c r="N4" s="52" t="s">
        <v>28</v>
      </c>
      <c r="O4" s="52" t="s">
        <v>29</v>
      </c>
      <c r="P4" s="52" t="s">
        <v>33</v>
      </c>
      <c r="Q4" s="64"/>
      <c r="R4" s="63"/>
    </row>
    <row r="5" spans="1:19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  <c r="P5" s="52">
        <v>16</v>
      </c>
      <c r="Q5" s="53">
        <v>17</v>
      </c>
      <c r="R5" s="52">
        <v>18</v>
      </c>
    </row>
    <row r="6" spans="1:19" x14ac:dyDescent="0.2">
      <c r="A6" s="12">
        <v>1</v>
      </c>
      <c r="B6" s="28">
        <v>44950</v>
      </c>
      <c r="C6" s="29" t="s">
        <v>30</v>
      </c>
      <c r="D6" s="30">
        <f>'Кредитний калькулятор'!B5:B5*(-1)</f>
        <v>-100000</v>
      </c>
      <c r="E6" s="21">
        <f>-1*D6</f>
        <v>100000</v>
      </c>
      <c r="F6" s="13" t="s">
        <v>30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15" t="s">
        <v>6</v>
      </c>
      <c r="R6" s="15" t="s">
        <v>6</v>
      </c>
    </row>
    <row r="7" spans="1:19" x14ac:dyDescent="0.2">
      <c r="A7" s="12">
        <v>2</v>
      </c>
      <c r="B7" s="31">
        <v>44981</v>
      </c>
      <c r="C7" s="32">
        <f>B7-B6</f>
        <v>31</v>
      </c>
      <c r="D7" s="30">
        <f>CEILING(IF('Кредитний калькулятор'!D5=12,(E6+(E6*20%))/12,IF('Кредитний калькулятор'!D5=18,(E6+(E6*30%))/18,IF('Кредитний калькулятор'!D5=24,(E6+(E6*40%))/24,IF('Кредитний калькулятор'!D5=36,(E6+(E6*60%))/36)))),10)</f>
        <v>4450</v>
      </c>
      <c r="E7" s="21">
        <f>D7-F7</f>
        <v>1474</v>
      </c>
      <c r="F7" s="21">
        <f>(C7*0.096*E6)/100</f>
        <v>2976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15" t="s">
        <v>6</v>
      </c>
      <c r="R7" s="15" t="s">
        <v>6</v>
      </c>
      <c r="S7" s="37"/>
    </row>
    <row r="8" spans="1:19" x14ac:dyDescent="0.2">
      <c r="A8" s="12">
        <v>3</v>
      </c>
      <c r="B8" s="16">
        <f>EDATE(B7,1)</f>
        <v>45009</v>
      </c>
      <c r="C8" s="14">
        <f t="shared" ref="C8:C18" si="0">B8-B7</f>
        <v>28</v>
      </c>
      <c r="D8" s="21">
        <f>D7</f>
        <v>4450</v>
      </c>
      <c r="E8" s="21">
        <f t="shared" ref="E8:E41" si="1">D8-F8</f>
        <v>1801.6211199999998</v>
      </c>
      <c r="F8" s="21">
        <f>(C8*0.096*(E6-E7))/100</f>
        <v>2648.3788800000002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 t="s">
        <v>6</v>
      </c>
      <c r="R8" s="15" t="s">
        <v>6</v>
      </c>
      <c r="S8" s="37"/>
    </row>
    <row r="9" spans="1:19" x14ac:dyDescent="0.2">
      <c r="A9" s="12">
        <v>4</v>
      </c>
      <c r="B9" s="16">
        <f>EDATE(B7,2)</f>
        <v>45040</v>
      </c>
      <c r="C9" s="14">
        <f t="shared" si="0"/>
        <v>31</v>
      </c>
      <c r="D9" s="21">
        <f t="shared" ref="D9:D40" si="2">D8</f>
        <v>4450</v>
      </c>
      <c r="E9" s="21">
        <f t="shared" si="1"/>
        <v>1506.7562112000001</v>
      </c>
      <c r="F9" s="21">
        <f>(C9*0.096*E6-E7-E8)/100</f>
        <v>2943.2437887999999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5" t="s">
        <v>6</v>
      </c>
      <c r="R9" s="15" t="s">
        <v>6</v>
      </c>
      <c r="S9" s="37"/>
    </row>
    <row r="10" spans="1:19" x14ac:dyDescent="0.2">
      <c r="A10" s="12">
        <v>5</v>
      </c>
      <c r="B10" s="16">
        <f>EDATE(B7,3)</f>
        <v>45070</v>
      </c>
      <c r="C10" s="14">
        <f t="shared" si="0"/>
        <v>30</v>
      </c>
      <c r="D10" s="21">
        <f t="shared" si="2"/>
        <v>4450</v>
      </c>
      <c r="E10" s="21">
        <f t="shared" si="1"/>
        <v>1707.73246713856</v>
      </c>
      <c r="F10" s="21">
        <f>(C10*0.096*(E6-E7-E8-E9))/100</f>
        <v>2742.26753286144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5" t="s">
        <v>6</v>
      </c>
      <c r="R10" s="15" t="s">
        <v>6</v>
      </c>
      <c r="S10" s="37"/>
    </row>
    <row r="11" spans="1:19" x14ac:dyDescent="0.2">
      <c r="A11" s="12">
        <v>6</v>
      </c>
      <c r="B11" s="16">
        <f>EDATE(B7,4)</f>
        <v>45101</v>
      </c>
      <c r="C11" s="14">
        <f t="shared" si="0"/>
        <v>31</v>
      </c>
      <c r="D11" s="21">
        <f t="shared" si="2"/>
        <v>4450</v>
      </c>
      <c r="E11" s="21">
        <f t="shared" si="1"/>
        <v>1667.1456675985555</v>
      </c>
      <c r="F11" s="21">
        <f>(C11*0.096*(E6-E7-E8-E9-E10))/100</f>
        <v>2782.8543324014445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 t="s">
        <v>6</v>
      </c>
      <c r="R11" s="15" t="s">
        <v>6</v>
      </c>
      <c r="S11" s="37"/>
    </row>
    <row r="12" spans="1:19" x14ac:dyDescent="0.2">
      <c r="A12" s="20">
        <v>7</v>
      </c>
      <c r="B12" s="16">
        <f>EDATE(B7,5)</f>
        <v>45131</v>
      </c>
      <c r="C12" s="14">
        <f t="shared" si="0"/>
        <v>30</v>
      </c>
      <c r="D12" s="21">
        <f t="shared" si="2"/>
        <v>4450</v>
      </c>
      <c r="E12" s="21">
        <f t="shared" si="1"/>
        <v>1804.9289574189884</v>
      </c>
      <c r="F12" s="21">
        <f>(C12*0.096*(E6-E7-E8-E9-E10-E11))/100</f>
        <v>2645.0710425810116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5" t="s">
        <v>6</v>
      </c>
      <c r="R12" s="15" t="s">
        <v>6</v>
      </c>
      <c r="S12" s="37"/>
    </row>
    <row r="13" spans="1:19" x14ac:dyDescent="0.2">
      <c r="A13" s="20">
        <v>8</v>
      </c>
      <c r="B13" s="16">
        <f>EDATE(B7,6)</f>
        <v>45162</v>
      </c>
      <c r="C13" s="14">
        <f t="shared" si="0"/>
        <v>31</v>
      </c>
      <c r="D13" s="21">
        <f t="shared" si="2"/>
        <v>4450</v>
      </c>
      <c r="E13" s="21">
        <f t="shared" si="1"/>
        <v>1770.4746084390772</v>
      </c>
      <c r="F13" s="21">
        <f>(C13*0.096*(E6-E7-E8-E9-E10-E11-E12))/100</f>
        <v>2679.5253915609228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5" t="s">
        <v>6</v>
      </c>
      <c r="R13" s="15" t="s">
        <v>6</v>
      </c>
      <c r="S13" s="37"/>
    </row>
    <row r="14" spans="1:19" x14ac:dyDescent="0.2">
      <c r="A14" s="20">
        <v>9</v>
      </c>
      <c r="B14" s="16">
        <f>EDATE(B7,7)</f>
        <v>45193</v>
      </c>
      <c r="C14" s="14">
        <f t="shared" si="0"/>
        <v>31</v>
      </c>
      <c r="D14" s="21">
        <f t="shared" si="2"/>
        <v>4450</v>
      </c>
      <c r="E14" s="21">
        <f t="shared" si="1"/>
        <v>1823.1639327862249</v>
      </c>
      <c r="F14" s="21">
        <f>(C14*0.096*(E6-E7-E8-E9-E10-E11-E12-E13))/100</f>
        <v>2626.8360672137751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5" t="s">
        <v>6</v>
      </c>
      <c r="R14" s="15" t="s">
        <v>6</v>
      </c>
      <c r="S14" s="37"/>
    </row>
    <row r="15" spans="1:19" x14ac:dyDescent="0.2">
      <c r="A15" s="20">
        <v>10</v>
      </c>
      <c r="B15" s="16">
        <f>EDATE(B7,8)</f>
        <v>45223</v>
      </c>
      <c r="C15" s="14">
        <f t="shared" si="0"/>
        <v>30</v>
      </c>
      <c r="D15" s="21">
        <f t="shared" si="2"/>
        <v>4450</v>
      </c>
      <c r="E15" s="21">
        <f t="shared" si="1"/>
        <v>1960.4077013799442</v>
      </c>
      <c r="F15" s="21">
        <f>(C15*0.096*(E6-E7-E8-E9-E10-E11-E12-E13-E14))/100</f>
        <v>2489.5922986200558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5" t="s">
        <v>6</v>
      </c>
      <c r="R15" s="15" t="s">
        <v>6</v>
      </c>
      <c r="S15" s="37"/>
    </row>
    <row r="16" spans="1:19" x14ac:dyDescent="0.2">
      <c r="A16" s="20">
        <v>11</v>
      </c>
      <c r="B16" s="16">
        <f>EDATE(B7,9)</f>
        <v>45254</v>
      </c>
      <c r="C16" s="14">
        <f t="shared" si="0"/>
        <v>31</v>
      </c>
      <c r="D16" s="21">
        <f t="shared" si="2"/>
        <v>4450</v>
      </c>
      <c r="E16" s="21">
        <f t="shared" si="1"/>
        <v>1935.7630246190097</v>
      </c>
      <c r="F16" s="21">
        <f>(C16*0.096*(E6-E7-E8-E9-E10-E11-E12-E13-E14-E15))/100</f>
        <v>2514.2369753809903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5" t="s">
        <v>6</v>
      </c>
      <c r="R16" s="15" t="s">
        <v>6</v>
      </c>
      <c r="S16" s="37"/>
    </row>
    <row r="17" spans="1:19" x14ac:dyDescent="0.2">
      <c r="A17" s="20">
        <v>12</v>
      </c>
      <c r="B17" s="16">
        <f>EDATE(B7,10)</f>
        <v>45284</v>
      </c>
      <c r="C17" s="14">
        <f t="shared" si="0"/>
        <v>30</v>
      </c>
      <c r="D17" s="21">
        <f t="shared" si="2"/>
        <v>4450</v>
      </c>
      <c r="E17" s="21">
        <f t="shared" si="1"/>
        <v>2072.6174182887144</v>
      </c>
      <c r="F17" s="21">
        <f>(C17*0.096*(E6-E7-E8-E9-E10-E11-E12-E13-E14-E15-E16))/100</f>
        <v>2377.3825817112856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15" t="s">
        <v>6</v>
      </c>
      <c r="R17" s="15" t="s">
        <v>6</v>
      </c>
      <c r="S17" s="37"/>
    </row>
    <row r="18" spans="1:19" s="45" customFormat="1" x14ac:dyDescent="0.2">
      <c r="A18" s="29">
        <v>13</v>
      </c>
      <c r="B18" s="39">
        <f>IF('Кредитний калькулятор'!D5=12,EDATE(B6,12),EDATE(B7,11))</f>
        <v>45315</v>
      </c>
      <c r="C18" s="32">
        <f t="shared" si="0"/>
        <v>31</v>
      </c>
      <c r="D18" s="41">
        <f>IF('Кредитний калькулятор'!D5=12,D43-SUM(D7:D17),D17)</f>
        <v>4450</v>
      </c>
      <c r="E18" s="41">
        <f>IF('Кредитний калькулятор'!D5=12,E6-SUM(E7:E17),D18-F18)</f>
        <v>2055.0524265999434</v>
      </c>
      <c r="F18" s="41">
        <f>(C18*0.096*(E6-E7-E8-E9-E10-E11-E12-E13-E14-E15-E16-E17))/100</f>
        <v>2394.9475734000566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 t="s">
        <v>6</v>
      </c>
      <c r="R18" s="43" t="s">
        <v>6</v>
      </c>
      <c r="S18" s="44"/>
    </row>
    <row r="19" spans="1:19" x14ac:dyDescent="0.2">
      <c r="A19" s="20">
        <v>14</v>
      </c>
      <c r="B19" s="16">
        <f>IF('Кредитний калькулятор'!D5=12,"Х",EDATE(B7,12))</f>
        <v>45346</v>
      </c>
      <c r="C19" s="14">
        <f>IF('Кредитний калькулятор'!D5=12,0,B19-B18)</f>
        <v>31</v>
      </c>
      <c r="D19" s="21">
        <f>IF('Кредитний калькулятор'!D5=12,0,D18)</f>
        <v>4450</v>
      </c>
      <c r="E19" s="21">
        <f t="shared" si="1"/>
        <v>2116.2107868155581</v>
      </c>
      <c r="F19" s="21">
        <f>IF('Кредитний калькулятор'!D5=12,0,(C19*0.096*(E6-SUM(E7:E18)))/100)</f>
        <v>2333.7892131844419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5" t="s">
        <v>6</v>
      </c>
      <c r="R19" s="15" t="s">
        <v>6</v>
      </c>
      <c r="S19" s="37"/>
    </row>
    <row r="20" spans="1:19" x14ac:dyDescent="0.2">
      <c r="A20" s="20">
        <v>15</v>
      </c>
      <c r="B20" s="16">
        <f>IF('Кредитний калькулятор'!D5=12,"Х",EDATE(B7,13))</f>
        <v>45375</v>
      </c>
      <c r="C20" s="14">
        <f>IF('Кредитний калькулятор'!D5=12,0,B20-B19)</f>
        <v>29</v>
      </c>
      <c r="D20" s="21">
        <f t="shared" si="2"/>
        <v>4450</v>
      </c>
      <c r="E20" s="21">
        <f t="shared" si="1"/>
        <v>2325.6931411324026</v>
      </c>
      <c r="F20" s="21">
        <f>IF('Кредитний калькулятор'!D5=12,0,(C20*0.096*(E6-SUM(E7:E19)))/100)</f>
        <v>2124.3068588675974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5" t="s">
        <v>6</v>
      </c>
      <c r="R20" s="15" t="s">
        <v>6</v>
      </c>
      <c r="S20" s="37"/>
    </row>
    <row r="21" spans="1:19" x14ac:dyDescent="0.2">
      <c r="A21" s="20">
        <v>16</v>
      </c>
      <c r="B21" s="16">
        <f>IF('Кредитний калькулятор'!D5=12,"Х",EDATE(B7,14))</f>
        <v>45406</v>
      </c>
      <c r="C21" s="14">
        <f>IF('Кредитний калькулятор'!D5=12,0,B21-B20)</f>
        <v>31</v>
      </c>
      <c r="D21" s="21">
        <f t="shared" si="2"/>
        <v>4450</v>
      </c>
      <c r="E21" s="21">
        <f t="shared" si="1"/>
        <v>2248.4018477112895</v>
      </c>
      <c r="F21" s="21">
        <f>IF('Кредитний калькулятор'!D5=12,0,(C21*0.096*(E6-SUM(E7:E20)))/100)</f>
        <v>2201.5981522887105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5" t="s">
        <v>6</v>
      </c>
      <c r="R21" s="15" t="s">
        <v>6</v>
      </c>
      <c r="S21" s="37"/>
    </row>
    <row r="22" spans="1:19" x14ac:dyDescent="0.2">
      <c r="A22" s="20">
        <v>17</v>
      </c>
      <c r="B22" s="16">
        <f>IF('Кредитний калькулятор'!D5=12,"Х",EDATE(B7,15))</f>
        <v>45436</v>
      </c>
      <c r="C22" s="14">
        <f>IF('Кредитний калькулятор'!D5=12,0,B22-B21)</f>
        <v>30</v>
      </c>
      <c r="D22" s="21">
        <f t="shared" si="2"/>
        <v>4450</v>
      </c>
      <c r="E22" s="21">
        <f t="shared" si="1"/>
        <v>2384.1751161604943</v>
      </c>
      <c r="F22" s="21">
        <f>IF('Кредитний калькулятор'!D5=12,0,(C22*0.096*(E6-SUM(E7:E21)))/100)</f>
        <v>2065.8248838395057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5" t="s">
        <v>6</v>
      </c>
      <c r="R22" s="15" t="s">
        <v>6</v>
      </c>
      <c r="S22" s="37"/>
    </row>
    <row r="23" spans="1:19" x14ac:dyDescent="0.2">
      <c r="A23" s="20">
        <v>18</v>
      </c>
      <c r="B23" s="16">
        <f>IF('Кредитний калькулятор'!D5=12,"Х",EDATE(B7,16))</f>
        <v>45467</v>
      </c>
      <c r="C23" s="14">
        <f>IF('Кредитний калькулятор'!D5=12,0,B23-B22)</f>
        <v>31</v>
      </c>
      <c r="D23" s="21">
        <f t="shared" si="2"/>
        <v>4450</v>
      </c>
      <c r="E23" s="21">
        <f t="shared" si="1"/>
        <v>2386.2673381561135</v>
      </c>
      <c r="F23" s="21">
        <f>IF('Кредитний калькулятор'!D5=12,0,(C23*0.096*(E6-SUM(E7:E22)))/100)</f>
        <v>2063.7326618438865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15" t="s">
        <v>6</v>
      </c>
      <c r="R23" s="15" t="s">
        <v>6</v>
      </c>
      <c r="S23" s="37"/>
    </row>
    <row r="24" spans="1:19" s="45" customFormat="1" x14ac:dyDescent="0.2">
      <c r="A24" s="29">
        <v>19</v>
      </c>
      <c r="B24" s="39">
        <f>IF('Кредитний калькулятор'!D5=12,"Х",IF('Кредитний калькулятор'!D5=18,EDATE(B6,18),EDATE(B7,17)))</f>
        <v>45497</v>
      </c>
      <c r="C24" s="32">
        <f>IF('Кредитний калькулятор'!D5=12,0,B24-B23)</f>
        <v>30</v>
      </c>
      <c r="D24" s="41">
        <f>IF('Кредитний калькулятор'!D5=18,D43-SUM(D7:D23),D23)</f>
        <v>4450</v>
      </c>
      <c r="E24" s="41">
        <f>IF('Кредитний калькулятор'!D5=18,E6-SUM(E7:E23),D24-F24)</f>
        <v>2521.5638588448128</v>
      </c>
      <c r="F24" s="41">
        <f>IF('Кредитний калькулятор'!D5=12,0,(C24*0.096*(E6-SUM(E7:E23)))/100)</f>
        <v>1928.4361411551874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3" t="s">
        <v>6</v>
      </c>
      <c r="R24" s="43" t="s">
        <v>6</v>
      </c>
      <c r="S24" s="44"/>
    </row>
    <row r="25" spans="1:19" x14ac:dyDescent="0.2">
      <c r="A25" s="20">
        <v>20</v>
      </c>
      <c r="B25" s="16">
        <f>IF('Кредитний калькулятор'!D5=12,"Х",IF('Кредитний калькулятор'!D5=18,"Х",EDATE(B7,18)))</f>
        <v>45528</v>
      </c>
      <c r="C25" s="14">
        <f>IF('Кредитний калькулятор'!D5=12,0,IF('Кредитний калькулятор'!D5=18,0,B25-B24))</f>
        <v>31</v>
      </c>
      <c r="D25" s="21">
        <f>IF('Кредитний калькулятор'!D5=18,0,D24)</f>
        <v>4450</v>
      </c>
      <c r="E25" s="21">
        <f t="shared" si="1"/>
        <v>2532.3243945788613</v>
      </c>
      <c r="F25" s="21">
        <f>(C25*0.096*(E6-SUM(E7:E24)))/100</f>
        <v>1917.6756054211387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5" t="s">
        <v>6</v>
      </c>
      <c r="R25" s="15" t="s">
        <v>6</v>
      </c>
      <c r="S25" s="37"/>
    </row>
    <row r="26" spans="1:19" x14ac:dyDescent="0.2">
      <c r="A26" s="20">
        <v>21</v>
      </c>
      <c r="B26" s="16">
        <f>IF('Кредитний калькулятор'!D5=12,"Х",IF('Кредитний калькулятор'!D5=18,"Х",EDATE(B7,19)))</f>
        <v>45559</v>
      </c>
      <c r="C26" s="14">
        <f>IF('Кредитний калькулятор'!D5=12,0,IF('Кредитний калькулятор'!D5=18,0,B26-B25))</f>
        <v>31</v>
      </c>
      <c r="D26" s="21">
        <f t="shared" si="2"/>
        <v>4450</v>
      </c>
      <c r="E26" s="21">
        <f t="shared" si="1"/>
        <v>2607.6863685615281</v>
      </c>
      <c r="F26" s="21">
        <f>(C26*0.096*(E6-SUM(E7:E25)))/100</f>
        <v>1842.3136314384717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5" t="s">
        <v>6</v>
      </c>
      <c r="R26" s="15" t="s">
        <v>6</v>
      </c>
      <c r="S26" s="37"/>
    </row>
    <row r="27" spans="1:19" x14ac:dyDescent="0.2">
      <c r="A27" s="20">
        <v>22</v>
      </c>
      <c r="B27" s="16">
        <f>IF('Кредитний калькулятор'!D5=12,"Х",IF('Кредитний калькулятор'!D5=18,"Х",EDATE(B7,20)))</f>
        <v>45589</v>
      </c>
      <c r="C27" s="14">
        <f>IF('Кредитний калькулятор'!D5=12,0,IF('Кредитний калькулятор'!D5=18,0,B27-B26))</f>
        <v>30</v>
      </c>
      <c r="D27" s="21">
        <f t="shared" si="2"/>
        <v>4450</v>
      </c>
      <c r="E27" s="21">
        <f t="shared" si="1"/>
        <v>2742.2172079579864</v>
      </c>
      <c r="F27" s="21">
        <f>(C27*0.096*(E6-SUM(E7:E26)))/100</f>
        <v>1707.7827920420136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15" t="s">
        <v>6</v>
      </c>
      <c r="R27" s="15" t="s">
        <v>6</v>
      </c>
      <c r="S27" s="37"/>
    </row>
    <row r="28" spans="1:19" x14ac:dyDescent="0.2">
      <c r="A28" s="20">
        <v>23</v>
      </c>
      <c r="B28" s="16">
        <f>IF('Кредитний калькулятор'!D5=12,"Х",IF('Кредитний калькулятор'!D5=18,"Х",EDATE(B7,21)))</f>
        <v>45620</v>
      </c>
      <c r="C28" s="14">
        <f>IF('Кредитний калькулятор'!D5=12,0,IF('Кредитний калькулятор'!D5=18,0,B28-B27))</f>
        <v>31</v>
      </c>
      <c r="D28" s="21">
        <f t="shared" si="2"/>
        <v>4450</v>
      </c>
      <c r="E28" s="21">
        <f t="shared" si="1"/>
        <v>2766.8994989987486</v>
      </c>
      <c r="F28" s="21">
        <f>(C28*0.096*(E6-SUM(E7:E27)))/100</f>
        <v>1683.1005010012514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15" t="s">
        <v>6</v>
      </c>
      <c r="R28" s="15" t="s">
        <v>6</v>
      </c>
      <c r="S28" s="37"/>
    </row>
    <row r="29" spans="1:19" x14ac:dyDescent="0.2">
      <c r="A29" s="20">
        <v>24</v>
      </c>
      <c r="B29" s="39">
        <f>IF('Кредитний калькулятор'!D5=12,"Х",IF('Кредитний калькулятор'!D5=18,"Х",EDATE(B7,22)))</f>
        <v>45650</v>
      </c>
      <c r="C29" s="14">
        <f>IF('Кредитний калькулятор'!D5=12,0,IF('Кредитний калькулятор'!D5=18,0,B29-B28))</f>
        <v>30</v>
      </c>
      <c r="D29" s="21">
        <f t="shared" si="2"/>
        <v>4450</v>
      </c>
      <c r="E29" s="21">
        <f t="shared" si="1"/>
        <v>2900.8797691183399</v>
      </c>
      <c r="F29" s="21">
        <f>(C29*0.096*(E6-SUM(E7:E28)))/100</f>
        <v>1549.1202308816601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15" t="s">
        <v>6</v>
      </c>
      <c r="R29" s="15" t="s">
        <v>6</v>
      </c>
      <c r="S29" s="37"/>
    </row>
    <row r="30" spans="1:19" s="45" customFormat="1" x14ac:dyDescent="0.2">
      <c r="A30" s="29">
        <v>25</v>
      </c>
      <c r="B30" s="39">
        <f>IF('Кредитний калькулятор'!D5=12,"Х",IF('Кредитний калькулятор'!D5=18,"Х",IF('Кредитний калькулятор'!D5=24,EDATE(B6,24),EDATE(B7,23))))</f>
        <v>45681</v>
      </c>
      <c r="C30" s="46">
        <f>IF('Кредитний калькулятор'!D5=12,0,IF('Кредитний калькулятор'!D5=18,0,B30-B29))</f>
        <v>31</v>
      </c>
      <c r="D30" s="41">
        <f>IF('Кредитний калькулятор'!D5=24,D43-SUM(D7:D29),D29)</f>
        <v>4450</v>
      </c>
      <c r="E30" s="41">
        <f>IF('Кредитний калькулятор'!D5=24,E6-SUM(E7:E29),D30-F30)</f>
        <v>2935.5726100179136</v>
      </c>
      <c r="F30" s="41">
        <f>(C30*0.096*(E6-SUM(E7:E29)))/100</f>
        <v>1514.4273899820867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3" t="s">
        <v>6</v>
      </c>
      <c r="R30" s="43" t="s">
        <v>6</v>
      </c>
      <c r="S30" s="44"/>
    </row>
    <row r="31" spans="1:19" x14ac:dyDescent="0.2">
      <c r="A31" s="20">
        <v>26</v>
      </c>
      <c r="B31" s="16">
        <f>IF('Кредитний калькулятор'!D5=12,"Х",IF('Кредитний калькулятор'!D5=18,"Х",IF('Кредитний калькулятор'!D5=24,"Х",EDATE(B7,24))))</f>
        <v>45712</v>
      </c>
      <c r="C31" s="14">
        <f>IF('Кредитний калькулятор'!D5=12,0,IF('Кредитний калькулятор'!D5=18,0,IF('Кредитний калькулятор'!D5=24,0,B31-B30)))</f>
        <v>31</v>
      </c>
      <c r="D31" s="21">
        <f>IF('Кредитний калькулятор'!D5=24,0,D29)</f>
        <v>4450</v>
      </c>
      <c r="E31" s="21">
        <f t="shared" si="1"/>
        <v>3022.9352508920465</v>
      </c>
      <c r="F31" s="21">
        <f>(C31*0.096*(E6-SUM(E7:E30)))/100</f>
        <v>1427.0647491079535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15" t="s">
        <v>6</v>
      </c>
      <c r="R31" s="15" t="s">
        <v>6</v>
      </c>
      <c r="S31" s="37"/>
    </row>
    <row r="32" spans="1:19" x14ac:dyDescent="0.2">
      <c r="A32" s="20">
        <v>27</v>
      </c>
      <c r="B32" s="16">
        <f>IF('Кредитний калькулятор'!D5=12,"Х",IF('Кредитний калькулятор'!D5=18,"Х",IF('Кредитний калькулятор'!D5=24,"Х",EDATE(B7,25))))</f>
        <v>45740</v>
      </c>
      <c r="C32" s="14">
        <f>IF('Кредитний калькулятор'!D5=12,0,IF('Кредитний калькулятор'!D5=18,0,IF('Кредитний калькулятор'!D5=24,0,B32-B31)))</f>
        <v>28</v>
      </c>
      <c r="D32" s="21">
        <f t="shared" si="2"/>
        <v>4450</v>
      </c>
      <c r="E32" s="21">
        <f t="shared" si="1"/>
        <v>3242.2947906722784</v>
      </c>
      <c r="F32" s="21">
        <f>(C32*0.096*(E6-SUM(E7:E31)))/100</f>
        <v>1207.7052093277216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15" t="s">
        <v>6</v>
      </c>
      <c r="R32" s="15" t="s">
        <v>6</v>
      </c>
      <c r="S32" s="37"/>
    </row>
    <row r="33" spans="1:19" x14ac:dyDescent="0.2">
      <c r="A33" s="20">
        <v>28</v>
      </c>
      <c r="B33" s="16">
        <f>IF('Кредитний калькулятор'!D5=12,"Х",IF('Кредитний калькулятор'!D5=18,"Х",IF('Кредитний калькулятор'!D5=24,"Х",EDATE(B7,26))))</f>
        <v>45771</v>
      </c>
      <c r="C33" s="14">
        <f>IF('Кредитний калькулятор'!D5=12,0,IF('Кредитний калькулятор'!D5=18,0,IF('Кредитний калькулятор'!D5=24,0,B33-B32)))</f>
        <v>31</v>
      </c>
      <c r="D33" s="21">
        <f t="shared" si="2"/>
        <v>4450</v>
      </c>
      <c r="E33" s="21">
        <f t="shared" si="1"/>
        <v>3209.3884969290011</v>
      </c>
      <c r="F33" s="21">
        <f>(C33*0.096*(E6-SUM(E7:E32)))/100</f>
        <v>1240.6115030709991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15" t="s">
        <v>6</v>
      </c>
      <c r="R33" s="15" t="s">
        <v>6</v>
      </c>
      <c r="S33" s="37"/>
    </row>
    <row r="34" spans="1:19" x14ac:dyDescent="0.2">
      <c r="A34" s="20">
        <v>29</v>
      </c>
      <c r="B34" s="16">
        <f>IF('Кредитний калькулятор'!D5=12,"Х",IF('Кредитний калькулятор'!D5=18,"Х",IF('Кредитний калькулятор'!D5=24,"Х",EDATE(B7,27))))</f>
        <v>45801</v>
      </c>
      <c r="C34" s="14">
        <f>IF('Кредитний калькулятор'!D5=12,0,IF('Кредитний калькулятор'!D5=18,0,IF('Кредитний калькулятор'!D5=24,0,B34-B33)))</f>
        <v>30</v>
      </c>
      <c r="D34" s="21">
        <f t="shared" si="2"/>
        <v>4450</v>
      </c>
      <c r="E34" s="21">
        <f t="shared" si="1"/>
        <v>3341.8386115460721</v>
      </c>
      <c r="F34" s="21">
        <f>(C34*0.096*(E6-SUM(E7:E33)))/100</f>
        <v>1108.1613884539279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15" t="s">
        <v>6</v>
      </c>
      <c r="R34" s="15" t="s">
        <v>6</v>
      </c>
      <c r="S34" s="37"/>
    </row>
    <row r="35" spans="1:19" x14ac:dyDescent="0.2">
      <c r="A35" s="20">
        <v>30</v>
      </c>
      <c r="B35" s="16">
        <f>IF('Кредитний калькулятор'!D5=12,"Х",IF('Кредитний калькулятор'!D5=18,"Х",IF('Кредитний калькулятор'!D5=24,"Х",EDATE(B7,28))))</f>
        <v>45832</v>
      </c>
      <c r="C35" s="14">
        <f>IF('Кредитний калькулятор'!D5=12,0,IF('Кредитний калькулятор'!D5=18,0,IF('Кредитний калькулятор'!D5=24,0,B35-B34)))</f>
        <v>31</v>
      </c>
      <c r="D35" s="21">
        <f t="shared" si="2"/>
        <v>4450</v>
      </c>
      <c r="E35" s="21">
        <f t="shared" si="1"/>
        <v>3404.353015677219</v>
      </c>
      <c r="F35" s="21">
        <f>(C35*0.096*(E6-SUM(E7:E34)))/100</f>
        <v>1045.646984322781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15" t="s">
        <v>6</v>
      </c>
      <c r="R35" s="15" t="s">
        <v>6</v>
      </c>
      <c r="S35" s="37"/>
    </row>
    <row r="36" spans="1:19" x14ac:dyDescent="0.2">
      <c r="A36" s="20">
        <v>31</v>
      </c>
      <c r="B36" s="16">
        <f>IF('Кредитний калькулятор'!D5=12,"Х",IF('Кредитний калькулятор'!D5=18,"Х",IF('Кредитний калькулятор'!D5=24,"Х",EDATE(B7,29))))</f>
        <v>45862</v>
      </c>
      <c r="C36" s="14">
        <f>IF('Кредитний калькулятор'!D5=12,0,IF('Кредитний калькулятор'!D5=18,0,IF('Кредитний калькулятор'!D5=24,0,B36-B35)))</f>
        <v>30</v>
      </c>
      <c r="D36" s="21">
        <f t="shared" si="2"/>
        <v>4450</v>
      </c>
      <c r="E36" s="21">
        <f t="shared" si="1"/>
        <v>3536.1289304101033</v>
      </c>
      <c r="F36" s="21">
        <f>(C36*0.096*(E6-SUM(E7:E35)))/100</f>
        <v>913.87106958989682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15" t="s">
        <v>6</v>
      </c>
      <c r="R36" s="15" t="s">
        <v>6</v>
      </c>
      <c r="S36" s="37"/>
    </row>
    <row r="37" spans="1:19" x14ac:dyDescent="0.2">
      <c r="A37" s="20">
        <v>32</v>
      </c>
      <c r="B37" s="16">
        <f>IF('Кредитний калькулятор'!D5=12,"Х",IF('Кредитний калькулятор'!D5=18,"Х",IF('Кредитний калькулятор'!D5=24,"Х",EDATE(B7,30))))</f>
        <v>45893</v>
      </c>
      <c r="C37" s="14">
        <f>IF('Кредитний калькулятор'!D5=12,0,IF('Кредитний калькулятор'!D5=18,0,IF('Кредитний калькулятор'!D5=24,0,B37-B36)))</f>
        <v>31</v>
      </c>
      <c r="D37" s="21">
        <f t="shared" si="2"/>
        <v>4450</v>
      </c>
      <c r="E37" s="21">
        <f t="shared" si="1"/>
        <v>3610.901758392778</v>
      </c>
      <c r="F37" s="21">
        <f>(C37*0.096*(E6-SUM(E7:E36)))/100</f>
        <v>839.09824160722189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15" t="s">
        <v>6</v>
      </c>
      <c r="R37" s="15" t="s">
        <v>6</v>
      </c>
      <c r="S37" s="37"/>
    </row>
    <row r="38" spans="1:19" x14ac:dyDescent="0.2">
      <c r="A38" s="20">
        <v>33</v>
      </c>
      <c r="B38" s="16">
        <f>IF('Кредитний калькулятор'!D5=12,"Х",IF('Кредитний калькулятор'!D5=18,"Х",IF('Кредитний калькулятор'!D5=24,"Х",EDATE(B7,31))))</f>
        <v>45924</v>
      </c>
      <c r="C38" s="14">
        <f>IF('Кредитний калькулятор'!D5=12,0,IF('Кредитний калькулятор'!D5=18,0,IF('Кредитний калькулятор'!D5=24,0,B38-B37)))</f>
        <v>31</v>
      </c>
      <c r="D38" s="21">
        <f t="shared" si="2"/>
        <v>4450</v>
      </c>
      <c r="E38" s="21">
        <f t="shared" si="1"/>
        <v>3718.3621947225474</v>
      </c>
      <c r="F38" s="21">
        <f>(C38*0.096*(E6-SUM(E7:E37)))/100</f>
        <v>731.63780527745269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15" t="s">
        <v>6</v>
      </c>
      <c r="R38" s="15" t="s">
        <v>6</v>
      </c>
      <c r="S38" s="37"/>
    </row>
    <row r="39" spans="1:19" x14ac:dyDescent="0.2">
      <c r="A39" s="20">
        <v>34</v>
      </c>
      <c r="B39" s="16">
        <f>IF('Кредитний калькулятор'!D5=12,"Х",IF('Кредитний калькулятор'!D5=18,"Х",IF('Кредитний калькулятор'!D5=24,"Х",EDATE(B7,32))))</f>
        <v>45954</v>
      </c>
      <c r="C39" s="14">
        <f>IF('Кредитний калькулятор'!D5=12,0,IF('Кредитний калькулятор'!D5=18,0,IF('Кредитний калькулятор'!D5=24,0,B39-B38)))</f>
        <v>30</v>
      </c>
      <c r="D39" s="21">
        <f t="shared" si="2"/>
        <v>4450</v>
      </c>
      <c r="E39" s="21">
        <f t="shared" si="1"/>
        <v>3849.0522454556358</v>
      </c>
      <c r="F39" s="21">
        <f>(C39*0.096*(E6-SUM(E7:E38)))/100</f>
        <v>600.94775454436433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15" t="s">
        <v>6</v>
      </c>
      <c r="R39" s="15" t="s">
        <v>6</v>
      </c>
      <c r="S39" s="37"/>
    </row>
    <row r="40" spans="1:19" x14ac:dyDescent="0.2">
      <c r="A40" s="20">
        <v>35</v>
      </c>
      <c r="B40" s="16">
        <f>IF('Кредитний калькулятор'!D5=12,"Х",IF('Кредитний калькулятор'!D5=18,"Х",IF('Кредитний калькулятор'!D5=24,"Х",EDATE(B7,33))))</f>
        <v>45985</v>
      </c>
      <c r="C40" s="14">
        <f>IF('Кредитний калькулятор'!D5=12,0,IF('Кредитний калькулятор'!D5=18,0,IF('Кредитний калькулятор'!D5=24,0,B40-B39)))</f>
        <v>31</v>
      </c>
      <c r="D40" s="21">
        <f t="shared" si="2"/>
        <v>4450</v>
      </c>
      <c r="E40" s="21">
        <f t="shared" si="1"/>
        <v>3943.5684484622498</v>
      </c>
      <c r="F40" s="21">
        <f>(C40*0.096*(E6-SUM(E7:E39)))/100</f>
        <v>506.43155153775012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15" t="s">
        <v>6</v>
      </c>
      <c r="R40" s="15" t="s">
        <v>6</v>
      </c>
      <c r="S40" s="37"/>
    </row>
    <row r="41" spans="1:19" x14ac:dyDescent="0.2">
      <c r="A41" s="20">
        <v>36</v>
      </c>
      <c r="B41" s="16">
        <f>IF('Кредитний калькулятор'!D5=12,"Х",IF('Кредитний калькулятор'!D5=18,"Х",IF('Кредитний калькулятор'!D5=24,"Х",EDATE(B7,34))))</f>
        <v>46015</v>
      </c>
      <c r="C41" s="14">
        <f>IF('Кредитний калькулятор'!D5=12,0,IF('Кредитний калькулятор'!D5=18,0,IF('Кредитний калькулятор'!D5=24,0,B41-B40)))</f>
        <v>30</v>
      </c>
      <c r="D41" s="21">
        <f>D40</f>
        <v>4450</v>
      </c>
      <c r="E41" s="21">
        <f t="shared" si="1"/>
        <v>4073.4797214404707</v>
      </c>
      <c r="F41" s="21">
        <f>(C41*0.096*(E6-SUM(E7:E40)))/100</f>
        <v>376.52027855952934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15" t="s">
        <v>6</v>
      </c>
      <c r="R41" s="15" t="s">
        <v>6</v>
      </c>
      <c r="S41" s="37"/>
    </row>
    <row r="42" spans="1:19" s="45" customFormat="1" x14ac:dyDescent="0.2">
      <c r="A42" s="29">
        <v>37</v>
      </c>
      <c r="B42" s="39">
        <f>IF('Кредитний калькулятор'!D5=12,"Х",IF('Кредитний калькулятор'!D5=18,"Х",IF('Кредитний калькулятор'!D5=24,"Х",IF('Кредитний калькулятор'!D5=36,EDATE(B6,36),EDATE(B7,23)))))</f>
        <v>46046</v>
      </c>
      <c r="C42" s="32">
        <f>IF('Кредитний калькулятор'!D5=12,0,IF('Кредитний калькулятор'!D5=18,0,IF('Кредитний калькулятор'!D5=24,0,B42-B41)))</f>
        <v>31</v>
      </c>
      <c r="D42" s="41">
        <f>D43-SUM(D7:D41)</f>
        <v>9267.9852598779835</v>
      </c>
      <c r="E42" s="41">
        <f>E6-SUM(E7:E41)</f>
        <v>9000.1410618765221</v>
      </c>
      <c r="F42" s="41">
        <f>(C42*0.096*(E6-SUM(E7:E41)))/100</f>
        <v>267.84419800144531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3" t="s">
        <v>6</v>
      </c>
      <c r="R42" s="43" t="s">
        <v>6</v>
      </c>
      <c r="S42" s="44"/>
    </row>
    <row r="43" spans="1:19" s="38" customFormat="1" ht="16.5" customHeight="1" x14ac:dyDescent="0.25">
      <c r="A43" s="54" t="s">
        <v>7</v>
      </c>
      <c r="B43" s="55" t="s">
        <v>30</v>
      </c>
      <c r="C43" s="47">
        <f>SUM(C7:C42)</f>
        <v>1096</v>
      </c>
      <c r="D43" s="48">
        <f>E43+F43</f>
        <v>165017.98525987798</v>
      </c>
      <c r="E43" s="48">
        <f>SUM(E7:E42)</f>
        <v>100000</v>
      </c>
      <c r="F43" s="48">
        <f>SUM(F7:F42)</f>
        <v>65017.985259877983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50">
        <f>IF('Кредитний калькулятор'!D5=12,XIRR(D6:D18,B6:B18),IF('Кредитний калькулятор'!D5=18,XIRR(D6:D24,B6:B24),IF('Кредитний калькулятор'!D5=24,XIRR(D6:D30,B6:B30),IF('Кредитний калькулятор'!D5=36,XIRR(D6:D42,B6:B42)))))</f>
        <v>0.41316562294960035</v>
      </c>
      <c r="R43" s="51">
        <f>SUM(E43:P43)</f>
        <v>165017.98525987798</v>
      </c>
    </row>
    <row r="44" spans="1:19" x14ac:dyDescent="0.2">
      <c r="A44" s="23"/>
      <c r="C44" s="24"/>
      <c r="D44" s="25">
        <f>SUM(D7:D42)</f>
        <v>165017.98525987798</v>
      </c>
    </row>
    <row r="45" spans="1:19" ht="15.75" x14ac:dyDescent="0.2">
      <c r="A45" s="27"/>
    </row>
  </sheetData>
  <sheetProtection password="EEAB" sheet="1" objects="1" scenarios="1" selectLockedCells="1" selectUnlockedCells="1"/>
  <mergeCells count="13">
    <mergeCell ref="Q1:Q4"/>
    <mergeCell ref="R1:R4"/>
    <mergeCell ref="E2:E4"/>
    <mergeCell ref="F2:F4"/>
    <mergeCell ref="G2:P2"/>
    <mergeCell ref="G3:I3"/>
    <mergeCell ref="J3:K3"/>
    <mergeCell ref="L3:P3"/>
    <mergeCell ref="A1:A4"/>
    <mergeCell ref="B1:B4"/>
    <mergeCell ref="C1:C4"/>
    <mergeCell ref="D1:D4"/>
    <mergeCell ref="E1:P1"/>
  </mergeCells>
  <pageMargins left="0.7" right="0.7" top="0.75" bottom="0.75" header="0.3" footer="0.3"/>
  <pageSetup paperSize="9" orientation="portrait" r:id="rId1"/>
  <ignoredErrors>
    <ignoredError sqref="D6:F6 D18:D30 F18:F30 D8:F17 E7:F7" unlockedFormula="1"/>
    <ignoredError sqref="E18:E30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Кредитний калькулятор</vt:lpstr>
      <vt:lpstr>Зразок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Office2</cp:lastModifiedBy>
  <dcterms:created xsi:type="dcterms:W3CDTF">2023-01-10T12:12:28Z</dcterms:created>
  <dcterms:modified xsi:type="dcterms:W3CDTF">2024-02-29T07:16:02Z</dcterms:modified>
</cp:coreProperties>
</file>